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<sst xmlns="http://schemas.openxmlformats.org/spreadsheetml/2006/main" count="1110" uniqueCount="282">
  <si>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</si>
  <si>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</si>
  <si>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</si>
  <si>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</si>
  <si>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</si>
  <si>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</si>
  <si>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</si>
  <si>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</si>
  <si>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</si>
  <si>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</si>
  <si>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</si>
  <si>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</si>
  <si>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</si>
  <si>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</si>
  <si>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</si>
  <si>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</si>
  <si>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</si>
  <si>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</si>
  <si>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</si>
  <si>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</si>
  <si>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</si>
  <si>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</si>
  <si>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</si>
  <si>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</si>
  <si>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</si>
  <si>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</si>
  <si>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</si>
  <si>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</si>
  <si>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</si>
  <si>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</si>
  <si>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</si>
  <si>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</si>
  <si>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</si>
  <si>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</si>
  <si>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</si>
  <si>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</si>
  <si>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</si>
  <si>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</si>
  <si>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</si>
  <si>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</si>
  <si>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</si>
  <si>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</si>
  <si>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</si>
  <si>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</si>
  <si>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</si>
  <si>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</si>
  <si>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</si>
  <si>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</si>
  <si>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</si>
  <si>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</si>
  <si>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</si>
  <si>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</si>
  <si>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</si>
  <si>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</si>
  <si>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</si>
  <si>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</si>
  <si>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</si>
  <si>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</si>
  <si>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</si>
  <si>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</si>
  <si>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</si>
  <si>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</si>
  <si>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</si>
  <si>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</si>
  <si>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</si>
  <si>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</si>
  <si>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</si>
  <si>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</si>
  <si>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</si>
  <si>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</si>
  <si>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</si>
  <si>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</si>
  <si>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</si>
  <si>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</si>
  <si>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</si>
  <si>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</si>
  <si>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</si>
  <si>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</si>
  <si>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</si>
  <si>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</si>
  <si>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</si>
  <si>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</si>
  <si>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</si>
  <si>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</si>
  <si>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</si>
  <si>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</si>
  <si>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</si>
  <si>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</si>
  <si>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</si>
  <si>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</si>
  <si>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</si>
  <si>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</si>
  <si>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</si>
  <si>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</si>
  <si>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</si>
  <si>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</si>
  <si>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</si>
  <si>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</si>
  <si>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</si>
  <si>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</si>
  <si>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</si>
  <si>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</si>
  <si>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</si>
  <si>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</si>
  <si>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</si>
  <si>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</si>
  <si>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</si>
  <si>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</si>
  <si>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</si>
  <si>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</si>
  <si>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</si>
  <si>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</si>
  <si>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</si>
  <si>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</si>
  <si>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</si>
  <si>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</si>
  <si>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</si>
  <si>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</si>
  <si>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</si>
  <si>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</si>
  <si>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</si>
  <si>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</si>
  <si>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</si>
  <si>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</si>
  <si>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</si>
  <si>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</si>
  <si>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</si>
  <si>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</si>
  <si>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</si>
  <si>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</si>
  <si>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</si>
  <si>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</si>
  <si>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</si>
  <si>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</si>
  <si>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</si>
  <si>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</si>
  <si>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</si>
  <si>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</si>
  <si>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</si>
  <si>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</si>
  <si>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</si>
  <si>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</si>
  <si>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</si>
  <si>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</si>
  <si>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</si>
  <si>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</si>
  <si>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</si>
  <si>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</si>
  <si>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</si>
  <si>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</si>
  <si>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</si>
  <si>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</si>
  <si>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</si>
  <si>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</si>
  <si>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</si>
  <si>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</si>
  <si>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</si>
  <si>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</si>
  <si>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</si>
  <si>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</si>
  <si>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</si>
  <si>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</si>
  <si>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</si>
  <si>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</si>
  <si>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</si>
  <si>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</si>
  <si>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</si>
  <si>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</si>
  <si>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</si>
  <si>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</si>
  <si>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</si>
  <si>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</si>
  <si>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</si>
  <si>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</si>
  <si>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</si>
  <si>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</si>
  <si>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</si>
  <si>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</si>
  <si>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</si>
  <si>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</si>
  <si>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</si>
  <si>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</si>
  <si>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</si>
  <si>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</si>
  <si>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</si>
  <si>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</si>
  <si>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</si>
  <si>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</si>
  <si>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</si>
  <si>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</si>
  <si>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</si>
  <si>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</si>
  <si>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</si>
  <si>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</si>
  <si>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</si>
  <si>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</si>
  <si>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</si>
  <si>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</si>
  <si>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</si>
  <si>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</si>
  <si>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</si>
  <si>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</si>
  <si>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</si>
  <si>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</si>
  <si>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</si>
  <si>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</si>
  <si>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</si>
  <si>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</si>
  <si>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</si>
  <si>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</si>
  <si>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</si>
  <si>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</si>
  <si>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</si>
  <si>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</si>
  <si>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</si>
  <si>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</si>
  <si>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</si>
  <si>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</si>
  <si>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</si>
  <si>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</si>
  <si>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</si>
  <si>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</si>
  <si>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</si>
  <si>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</si>
  <si>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</si>
  <si>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</si>
  <si>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</si>
  <si>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</si>
  <si>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</si>
  <si>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</si>
  <si>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</si>
  <si>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</si>
  <si>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</si>
  <si>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</si>
  <si>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</si>
  <si>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</si>
  <si>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</si>
  <si>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</si>
  <si>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</si>
  <si>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</si>
  <si>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</si>
  <si>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</si>
  <si>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</si>
  <si>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</si>
  <si>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</si>
  <si>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</si>
  <si>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</si>
  <si>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</si>
  <si>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</si>
  <si>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</si>
  <si>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</si>
  <si>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</si>
  <si>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</si>
  <si>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</si>
  <si>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</si>
  <si>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</si>
  <si>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</si>
  <si>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</si>
  <si>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</si>
  <si>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</si>
  <si>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</si>
  <si>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</si>
  <si>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</si>
  <si>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</si>
  <si>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</si>
  <si>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</si>
  <si>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</si>
  <si>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</si>
  <si>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</si>
  <si>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</si>
  <si>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</si>
  <si>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</si>
  <si>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</si>
  <si>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</si>
  <si>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</si>
  <si>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План  на січень-червень</t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</si>
  <si>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</si>
  <si>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</si>
  <si>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</si>
  <si>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</si>
  <si>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22.06.2015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</si>
  <si>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19.06.15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</si>
</sst>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278</v>
      </c>
      <c r="N3" s="218" t="s">
        <v>279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275</v>
      </c>
      <c r="F4" s="223" t="s">
        <v>116</v>
      </c>
      <c r="G4" s="225" t="s">
        <v>276</v>
      </c>
      <c r="H4" s="227" t="s">
        <v>277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264509.89999999997</v>
      </c>
      <c r="F8" s="18">
        <f>F9+F15+F18+F19+F20+F32+F17</f>
        <v>280153.97</v>
      </c>
      <c r="G8" s="18">
        <f aca="true" t="shared" si="0" ref="G8:G54">F8-E8</f>
        <v>15644.070000000007</v>
      </c>
      <c r="H8" s="45">
        <f>F8/E8*100</f>
        <v>105.91436086135151</v>
      </c>
      <c r="I8" s="31">
        <f aca="true" t="shared" si="1" ref="I8:I54">F8-D8</f>
        <v>-237275.03000000003</v>
      </c>
      <c r="J8" s="31">
        <f aca="true" t="shared" si="2" ref="J8:J14">F8/D8*100</f>
        <v>54.143461228497046</v>
      </c>
      <c r="K8" s="18">
        <f>K9+K15+K18+K19+K20+K32</f>
        <v>46855.81599999998</v>
      </c>
      <c r="L8" s="18"/>
      <c r="M8" s="18">
        <f>M9+M15+M18+M19+M20+M32+M17</f>
        <v>40984.19999999999</v>
      </c>
      <c r="N8" s="18">
        <f>N9+N15+N18+N19+N20+N32+N17</f>
        <v>27421.869999999984</v>
      </c>
      <c r="O8" s="31">
        <f aca="true" t="shared" si="3" ref="O8:O54">N8-M8</f>
        <v>-13562.330000000005</v>
      </c>
      <c r="P8" s="31">
        <f>F8/M8*100</f>
        <v>683.5657887673788</v>
      </c>
      <c r="Q8" s="31">
        <f>N8-33748.16</f>
        <v>-6326.290000000019</v>
      </c>
      <c r="R8" s="125">
        <f>N8/33748.16</f>
        <v>0.8125441505551705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155358.65</v>
      </c>
      <c r="F9" s="143">
        <v>160139.3</v>
      </c>
      <c r="G9" s="43">
        <f t="shared" si="0"/>
        <v>4780.649999999994</v>
      </c>
      <c r="H9" s="35">
        <f aca="true" t="shared" si="4" ref="H9:H32">F9/E9*100</f>
        <v>103.07717014791258</v>
      </c>
      <c r="I9" s="50">
        <f t="shared" si="1"/>
        <v>-152550.7</v>
      </c>
      <c r="J9" s="50">
        <f t="shared" si="2"/>
        <v>51.21343822955643</v>
      </c>
      <c r="K9" s="132">
        <f>F9-182998.13/75*60</f>
        <v>13740.795999999973</v>
      </c>
      <c r="L9" s="132">
        <f>F9/(182998.13/75*60)*100</f>
        <v>109.38588552790127</v>
      </c>
      <c r="M9" s="35">
        <f>E9-травень!E9</f>
        <v>27546</v>
      </c>
      <c r="N9" s="35">
        <f>F9-травень!F9</f>
        <v>22056.79999999999</v>
      </c>
      <c r="O9" s="47">
        <f t="shared" si="3"/>
        <v>-5489.200000000012</v>
      </c>
      <c r="P9" s="50">
        <f aca="true" t="shared" si="5" ref="P9:P32">N9/M9*100</f>
        <v>80.07260582298696</v>
      </c>
      <c r="Q9" s="132">
        <f>N9-26568.11</f>
        <v>-4511.310000000012</v>
      </c>
      <c r="R9" s="133">
        <f>N9/26568.11</f>
        <v>0.8301983091759251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136694.25</v>
      </c>
      <c r="F10" s="144">
        <v>141929.4</v>
      </c>
      <c r="G10" s="135">
        <f t="shared" si="0"/>
        <v>5235.149999999994</v>
      </c>
      <c r="H10" s="137">
        <f t="shared" si="4"/>
        <v>103.82982459028085</v>
      </c>
      <c r="I10" s="136">
        <f t="shared" si="1"/>
        <v>-98480.6</v>
      </c>
      <c r="J10" s="136">
        <f t="shared" si="2"/>
        <v>59.036396156565864</v>
      </c>
      <c r="K10" s="138">
        <f>F10-165146.65/75*60</f>
        <v>9812.079999999987</v>
      </c>
      <c r="L10" s="138">
        <f>F10/(165146.65/75*60)*100</f>
        <v>107.42679309571218</v>
      </c>
      <c r="M10" s="137">
        <f>E10-травень!E10</f>
        <v>24072</v>
      </c>
      <c r="N10" s="137">
        <f>F10-травень!F10</f>
        <v>19735.65999999999</v>
      </c>
      <c r="O10" s="138">
        <f t="shared" si="3"/>
        <v>-4336.340000000011</v>
      </c>
      <c r="P10" s="136">
        <f t="shared" si="5"/>
        <v>81.98595879029573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8474.3</v>
      </c>
      <c r="G11" s="135">
        <f t="shared" si="0"/>
        <v>-2313.7000000000007</v>
      </c>
      <c r="H11" s="137">
        <f t="shared" si="4"/>
        <v>78.5530218761587</v>
      </c>
      <c r="I11" s="136">
        <f t="shared" si="1"/>
        <v>-15225.7</v>
      </c>
      <c r="J11" s="136">
        <f t="shared" si="2"/>
        <v>35.756540084388185</v>
      </c>
      <c r="K11" s="138">
        <f>F11-11586.84/75*60</f>
        <v>-795.1720000000005</v>
      </c>
      <c r="L11" s="138">
        <f>F11/(11586.84/75*60)*100</f>
        <v>91.4216041647248</v>
      </c>
      <c r="M11" s="137">
        <f>E11-травень!E11</f>
        <v>1830</v>
      </c>
      <c r="N11" s="137">
        <f>F11-травень!F11</f>
        <v>702.909999999999</v>
      </c>
      <c r="O11" s="138">
        <f t="shared" si="3"/>
        <v>-1127.090000000001</v>
      </c>
      <c r="P11" s="136">
        <f t="shared" si="5"/>
        <v>38.41038251366115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2495.08</v>
      </c>
      <c r="G12" s="135">
        <f t="shared" si="0"/>
        <v>-3.9200000000000728</v>
      </c>
      <c r="H12" s="137">
        <f t="shared" si="4"/>
        <v>99.84313725490196</v>
      </c>
      <c r="I12" s="136">
        <f t="shared" si="1"/>
        <v>-3304.92</v>
      </c>
      <c r="J12" s="136">
        <f t="shared" si="2"/>
        <v>43.01862068965517</v>
      </c>
      <c r="K12" s="138">
        <f>F12-2585.22/75*60</f>
        <v>426.904</v>
      </c>
      <c r="L12" s="138">
        <f>F12/(2585.22*60)*100</f>
        <v>1.6085542687534011</v>
      </c>
      <c r="M12" s="137">
        <f>E12-травень!E12</f>
        <v>330</v>
      </c>
      <c r="N12" s="137">
        <f>F12-травень!F12</f>
        <v>326.0499999999997</v>
      </c>
      <c r="O12" s="138">
        <f t="shared" si="3"/>
        <v>-3.950000000000273</v>
      </c>
      <c r="P12" s="136">
        <f t="shared" si="5"/>
        <v>98.80303030303021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2684.52</v>
      </c>
      <c r="G13" s="135">
        <f t="shared" si="0"/>
        <v>-658.8800000000001</v>
      </c>
      <c r="H13" s="137">
        <f t="shared" si="4"/>
        <v>80.29311479332416</v>
      </c>
      <c r="I13" s="136">
        <f t="shared" si="1"/>
        <v>-5715.48</v>
      </c>
      <c r="J13" s="136">
        <f t="shared" si="2"/>
        <v>31.95857142857143</v>
      </c>
      <c r="K13" s="138">
        <f>F13-3679.42/75*60</f>
        <v>-259.0160000000001</v>
      </c>
      <c r="L13" s="138">
        <f>F13/(3679.42/75*60)*100</f>
        <v>91.20051529860685</v>
      </c>
      <c r="M13" s="137">
        <f>E13-травень!E13</f>
        <v>924</v>
      </c>
      <c r="N13" s="137">
        <f>F13-травень!F13</f>
        <v>380.8499999999999</v>
      </c>
      <c r="O13" s="138">
        <f t="shared" si="3"/>
        <v>-543.1500000000001</v>
      </c>
      <c r="P13" s="136">
        <f t="shared" si="5"/>
        <v>41.21753246753246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4556</v>
      </c>
      <c r="G14" s="135">
        <f t="shared" si="0"/>
        <v>2522</v>
      </c>
      <c r="H14" s="137">
        <f t="shared" si="4"/>
        <v>223.992133726647</v>
      </c>
      <c r="I14" s="136">
        <f t="shared" si="1"/>
        <v>176</v>
      </c>
      <c r="J14" s="136">
        <f t="shared" si="2"/>
        <v>104.01826484018264</v>
      </c>
      <c r="K14" s="138">
        <f>F14-0</f>
        <v>4556</v>
      </c>
      <c r="L14" s="138"/>
      <c r="M14" s="137">
        <f>E14-травень!E14</f>
        <v>390</v>
      </c>
      <c r="N14" s="137">
        <f>F14-травень!F14</f>
        <v>911.3400000000001</v>
      </c>
      <c r="O14" s="138">
        <f t="shared" si="3"/>
        <v>521.3400000000001</v>
      </c>
      <c r="P14" s="136">
        <f t="shared" si="5"/>
        <v>233.67692307692312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-875.35</v>
      </c>
      <c r="G15" s="43">
        <f t="shared" si="0"/>
        <v>-1046.65</v>
      </c>
      <c r="H15" s="35"/>
      <c r="I15" s="50">
        <f t="shared" si="1"/>
        <v>-1375.35</v>
      </c>
      <c r="J15" s="50">
        <f>F15/D15*100</f>
        <v>-175.07000000000002</v>
      </c>
      <c r="K15" s="53">
        <f>F15-317.87</f>
        <v>-1193.22</v>
      </c>
      <c r="L15" s="53">
        <f>F15/317.87*100</f>
        <v>-275.3798722748293</v>
      </c>
      <c r="M15" s="35">
        <f>E15-травень!E15</f>
        <v>0.10000000000002274</v>
      </c>
      <c r="N15" s="35">
        <f>F15-травень!F15</f>
        <v>5.389999999999986</v>
      </c>
      <c r="O15" s="47">
        <f t="shared" si="3"/>
        <v>5.289999999999964</v>
      </c>
      <c r="P15" s="50"/>
      <c r="Q15" s="50">
        <f>N15-358.81</f>
        <v>-353.42</v>
      </c>
      <c r="R15" s="126">
        <f>N15/358.81</f>
        <v>0.015021877874083739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-1370.3</v>
      </c>
      <c r="G16" s="135">
        <f t="shared" si="0"/>
        <v>-1370.3</v>
      </c>
      <c r="H16" s="137"/>
      <c r="I16" s="136">
        <f t="shared" si="1"/>
        <v>-1370.3</v>
      </c>
      <c r="J16" s="136"/>
      <c r="K16" s="138">
        <f>F16-828.15</f>
        <v>-2198.45</v>
      </c>
      <c r="L16" s="138">
        <f>F16/828.15*100</f>
        <v>-165.46519350359233</v>
      </c>
      <c r="M16" s="137">
        <f>E16-травень!E16</f>
        <v>0</v>
      </c>
      <c r="N16" s="137">
        <f>F16-травень!F16</f>
        <v>4.730000000000018</v>
      </c>
      <c r="O16" s="138">
        <f t="shared" si="3"/>
        <v>4.730000000000018</v>
      </c>
      <c r="P16" s="50"/>
      <c r="Q16" s="136">
        <f>N16-358.81</f>
        <v>-354.08</v>
      </c>
      <c r="R16" s="141">
        <f>N16/358.79</f>
        <v>0.013183199085816265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18502.75</v>
      </c>
      <c r="F19" s="168">
        <v>23596.06</v>
      </c>
      <c r="G19" s="43">
        <f t="shared" si="0"/>
        <v>5093.310000000001</v>
      </c>
      <c r="H19" s="35">
        <f t="shared" si="4"/>
        <v>127.52731350745161</v>
      </c>
      <c r="I19" s="50">
        <f t="shared" si="1"/>
        <v>-6353.939999999999</v>
      </c>
      <c r="J19" s="178">
        <f>F19/D19*100</f>
        <v>78.78484140233724</v>
      </c>
      <c r="K19" s="179">
        <f>F19-0</f>
        <v>23596.06</v>
      </c>
      <c r="L19" s="180"/>
      <c r="M19" s="35">
        <f>E19-травень!E19</f>
        <v>2720</v>
      </c>
      <c r="N19" s="35">
        <f>F19-травень!F19</f>
        <v>455.58000000000175</v>
      </c>
      <c r="O19" s="47">
        <f t="shared" si="3"/>
        <v>-2264.4199999999983</v>
      </c>
      <c r="P19" s="50">
        <f t="shared" si="5"/>
        <v>16.749264705882418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86469.4</v>
      </c>
      <c r="F20" s="169">
        <f>F21+F25+F27+F26</f>
        <v>93257.35999999999</v>
      </c>
      <c r="G20" s="43">
        <f t="shared" si="0"/>
        <v>6787.959999999992</v>
      </c>
      <c r="H20" s="35">
        <f t="shared" si="4"/>
        <v>107.85012964123723</v>
      </c>
      <c r="I20" s="50">
        <f t="shared" si="1"/>
        <v>-73512.64000000001</v>
      </c>
      <c r="J20" s="178">
        <f aca="true" t="shared" si="6" ref="J20:J46">F20/D20*100</f>
        <v>55.91974575763026</v>
      </c>
      <c r="K20" s="178">
        <f>K21+K25+K26+K27</f>
        <v>11974.14</v>
      </c>
      <c r="L20" s="136"/>
      <c r="M20" s="35">
        <f>E20-травень!E20</f>
        <v>10717.799999999988</v>
      </c>
      <c r="N20" s="35">
        <f>F20-травень!F20</f>
        <v>4904.009999999995</v>
      </c>
      <c r="O20" s="47">
        <f t="shared" si="3"/>
        <v>-5813.789999999994</v>
      </c>
      <c r="P20" s="50">
        <f t="shared" si="5"/>
        <v>45.75575211330683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48277.2</v>
      </c>
      <c r="F21" s="169">
        <f>F22+F23+F24</f>
        <v>48272.729999999996</v>
      </c>
      <c r="G21" s="43">
        <f t="shared" si="0"/>
        <v>-4.470000000001164</v>
      </c>
      <c r="H21" s="35">
        <f t="shared" si="4"/>
        <v>99.99074097089309</v>
      </c>
      <c r="I21" s="50">
        <f t="shared" si="1"/>
        <v>-49927.270000000004</v>
      </c>
      <c r="J21" s="178">
        <f t="shared" si="6"/>
        <v>49.15756619144602</v>
      </c>
      <c r="K21" s="178">
        <f>K22+K23+K24</f>
        <v>8308.93</v>
      </c>
      <c r="L21" s="136"/>
      <c r="M21" s="35">
        <f>E21-травень!E21</f>
        <v>8363.099999999999</v>
      </c>
      <c r="N21" s="35">
        <f>F21-травень!F21</f>
        <v>2481.37999999999</v>
      </c>
      <c r="O21" s="47">
        <f t="shared" si="3"/>
        <v>-5881.720000000008</v>
      </c>
      <c r="P21" s="50">
        <f t="shared" si="5"/>
        <v>29.67057670002739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286.2</v>
      </c>
      <c r="F22" s="144">
        <v>4552.38</v>
      </c>
      <c r="G22" s="135">
        <f t="shared" si="0"/>
        <v>4266.18</v>
      </c>
      <c r="H22" s="137">
        <f t="shared" si="4"/>
        <v>1590.6289308176101</v>
      </c>
      <c r="I22" s="136">
        <f t="shared" si="1"/>
        <v>3552.38</v>
      </c>
      <c r="J22" s="136">
        <f t="shared" si="6"/>
        <v>455.23800000000006</v>
      </c>
      <c r="K22" s="136">
        <f>F22-130.74</f>
        <v>4421.64</v>
      </c>
      <c r="L22" s="136">
        <f>F22/130.74*100</f>
        <v>3482.0100963744835</v>
      </c>
      <c r="M22" s="137">
        <f>E22-травень!E22</f>
        <v>10.099999999999966</v>
      </c>
      <c r="N22" s="137">
        <f>F22-травень!F22</f>
        <v>112.92000000000007</v>
      </c>
      <c r="O22" s="138">
        <f t="shared" si="3"/>
        <v>102.8200000000001</v>
      </c>
      <c r="P22" s="136">
        <f t="shared" si="5"/>
        <v>1118.0198019802026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179.43</v>
      </c>
      <c r="G23" s="135">
        <f t="shared" si="0"/>
        <v>-70.57</v>
      </c>
      <c r="H23" s="137"/>
      <c r="I23" s="136">
        <f t="shared" si="1"/>
        <v>-1320.57</v>
      </c>
      <c r="J23" s="136">
        <f t="shared" si="6"/>
        <v>11.962</v>
      </c>
      <c r="K23" s="136">
        <f>F23-0</f>
        <v>179.43</v>
      </c>
      <c r="L23" s="136"/>
      <c r="M23" s="137">
        <f>E23-травень!E23</f>
        <v>0</v>
      </c>
      <c r="N23" s="137">
        <f>F23-травень!F23</f>
        <v>6.340000000000003</v>
      </c>
      <c r="O23" s="138">
        <f t="shared" si="3"/>
        <v>6.340000000000003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43540.92</v>
      </c>
      <c r="G24" s="135">
        <f t="shared" si="0"/>
        <v>-4200.080000000002</v>
      </c>
      <c r="H24" s="137">
        <f t="shared" si="4"/>
        <v>91.2023627489998</v>
      </c>
      <c r="I24" s="136">
        <f t="shared" si="1"/>
        <v>-52159.08</v>
      </c>
      <c r="J24" s="136">
        <f t="shared" si="6"/>
        <v>45.49730407523511</v>
      </c>
      <c r="K24" s="139">
        <f>F24-39833.06</f>
        <v>3707.8600000000006</v>
      </c>
      <c r="L24" s="139">
        <f>F24/39833.06*100</f>
        <v>109.30849902066274</v>
      </c>
      <c r="M24" s="137">
        <f>E24-травень!E24</f>
        <v>8353</v>
      </c>
      <c r="N24" s="137">
        <f>F24-травень!F24</f>
        <v>2362.1199999999953</v>
      </c>
      <c r="O24" s="138">
        <f t="shared" si="3"/>
        <v>-5990.880000000005</v>
      </c>
      <c r="P24" s="136">
        <f t="shared" si="5"/>
        <v>28.278702262660065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36.7</v>
      </c>
      <c r="G25" s="43">
        <f t="shared" si="0"/>
        <v>14.500000000000004</v>
      </c>
      <c r="H25" s="35">
        <f t="shared" si="4"/>
        <v>165.31531531531533</v>
      </c>
      <c r="I25" s="50">
        <f t="shared" si="1"/>
        <v>-33.3</v>
      </c>
      <c r="J25" s="178">
        <f t="shared" si="6"/>
        <v>52.42857142857144</v>
      </c>
      <c r="K25" s="178">
        <f>F25-27.78</f>
        <v>8.920000000000002</v>
      </c>
      <c r="L25" s="178">
        <f>F25/27.78*100</f>
        <v>132.10943124550036</v>
      </c>
      <c r="M25" s="35">
        <f>E25-травень!E25</f>
        <v>4.699999999999999</v>
      </c>
      <c r="N25" s="35">
        <f>F25-травень!F25</f>
        <v>3.5</v>
      </c>
      <c r="O25" s="47">
        <f t="shared" si="3"/>
        <v>-1.1999999999999993</v>
      </c>
      <c r="P25" s="50">
        <f t="shared" si="5"/>
        <v>74.46808510638299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-355.99</v>
      </c>
      <c r="G26" s="43">
        <f t="shared" si="0"/>
        <v>-355.99</v>
      </c>
      <c r="H26" s="35"/>
      <c r="I26" s="50">
        <f t="shared" si="1"/>
        <v>-355.99</v>
      </c>
      <c r="J26" s="136"/>
      <c r="K26" s="178">
        <f>F26-3237.93</f>
        <v>-3593.92</v>
      </c>
      <c r="L26" s="178">
        <f>F26/3237.93*100</f>
        <v>-10.99436985975608</v>
      </c>
      <c r="M26" s="35">
        <f>E26-травень!E26</f>
        <v>0</v>
      </c>
      <c r="N26" s="35">
        <f>F26-травень!F26</f>
        <v>-150.5</v>
      </c>
      <c r="O26" s="47">
        <f t="shared" si="3"/>
        <v>-150.5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38170</v>
      </c>
      <c r="F27" s="168">
        <v>45303.92</v>
      </c>
      <c r="G27" s="43">
        <f t="shared" si="0"/>
        <v>7133.919999999998</v>
      </c>
      <c r="H27" s="35">
        <f t="shared" si="4"/>
        <v>118.68986114749802</v>
      </c>
      <c r="I27" s="50">
        <f t="shared" si="1"/>
        <v>-23196.08</v>
      </c>
      <c r="J27" s="178">
        <f t="shared" si="6"/>
        <v>66.1371094890511</v>
      </c>
      <c r="K27" s="132">
        <f>F27-38053.71</f>
        <v>7250.209999999999</v>
      </c>
      <c r="L27" s="132">
        <f>F27/38053.71*100</f>
        <v>119.05257069547226</v>
      </c>
      <c r="M27" s="35">
        <f>E27-травень!E27</f>
        <v>2350</v>
      </c>
      <c r="N27" s="35">
        <f>F27-травень!F27</f>
        <v>2569.6299999999974</v>
      </c>
      <c r="O27" s="47">
        <f t="shared" si="3"/>
        <v>219.62999999999738</v>
      </c>
      <c r="P27" s="50">
        <f t="shared" si="5"/>
        <v>109.3459574468084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9740</v>
      </c>
      <c r="F29" s="144">
        <v>11256.38</v>
      </c>
      <c r="G29" s="135">
        <f t="shared" si="0"/>
        <v>1516.3799999999992</v>
      </c>
      <c r="H29" s="137">
        <f t="shared" si="4"/>
        <v>115.56858316221765</v>
      </c>
      <c r="I29" s="136">
        <f t="shared" si="1"/>
        <v>-5243.620000000001</v>
      </c>
      <c r="J29" s="136">
        <f t="shared" si="6"/>
        <v>68.22048484848484</v>
      </c>
      <c r="K29" s="139">
        <f>F29-10533.4</f>
        <v>722.9799999999996</v>
      </c>
      <c r="L29" s="139">
        <f>F29/10533.4*100</f>
        <v>106.86369073613457</v>
      </c>
      <c r="M29" s="137">
        <f>E29-травень!E29</f>
        <v>600</v>
      </c>
      <c r="N29" s="137">
        <f>F29-травень!F29</f>
        <v>430.9299999999985</v>
      </c>
      <c r="O29" s="138">
        <f t="shared" si="3"/>
        <v>-169.07000000000153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28430</v>
      </c>
      <c r="F30" s="144">
        <v>34041.77</v>
      </c>
      <c r="G30" s="135">
        <f t="shared" si="0"/>
        <v>5611.769999999997</v>
      </c>
      <c r="H30" s="137">
        <f t="shared" si="4"/>
        <v>119.73890256771016</v>
      </c>
      <c r="I30" s="136">
        <f t="shared" si="1"/>
        <v>-17958.230000000003</v>
      </c>
      <c r="J30" s="136">
        <f t="shared" si="6"/>
        <v>65.4649423076923</v>
      </c>
      <c r="K30" s="139">
        <f>F30-27519.96</f>
        <v>6521.809999999998</v>
      </c>
      <c r="L30" s="139">
        <f>F30/27519.96*100</f>
        <v>123.6984719454534</v>
      </c>
      <c r="M30" s="137">
        <f>E30-травень!E30</f>
        <v>1750</v>
      </c>
      <c r="N30" s="137">
        <f>F30-травень!F30</f>
        <v>2138.689999999995</v>
      </c>
      <c r="O30" s="138">
        <f t="shared" si="3"/>
        <v>388.68999999999505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E31-травень!E31</f>
        <v>0</v>
      </c>
      <c r="N31" s="137">
        <f>F31-травень!F31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4020.71</v>
      </c>
      <c r="G32" s="43">
        <f t="shared" si="0"/>
        <v>25.909999999999854</v>
      </c>
      <c r="H32" s="35">
        <f t="shared" si="4"/>
        <v>100.64859317112244</v>
      </c>
      <c r="I32" s="50">
        <f t="shared" si="1"/>
        <v>-3479.29</v>
      </c>
      <c r="J32" s="178">
        <f t="shared" si="6"/>
        <v>53.60946666666667</v>
      </c>
      <c r="K32" s="178">
        <f>F32-5295.56</f>
        <v>-1274.8500000000004</v>
      </c>
      <c r="L32" s="178">
        <f>F32/5295.56*100</f>
        <v>75.92605881153267</v>
      </c>
      <c r="M32" s="35">
        <f>E32-травень!E32</f>
        <v>0.3000000000001819</v>
      </c>
      <c r="N32" s="35">
        <f>F32-травень!F32</f>
        <v>0.09000000000014552</v>
      </c>
      <c r="O32" s="47">
        <f t="shared" si="3"/>
        <v>-0.21000000000003638</v>
      </c>
      <c r="P32" s="50">
        <f t="shared" si="5"/>
        <v>30.00000000003032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15229.150000000001</v>
      </c>
      <c r="G33" s="44">
        <f t="shared" si="0"/>
        <v>9111.650000000001</v>
      </c>
      <c r="H33" s="45">
        <f>F33/E33*100</f>
        <v>248.94401307723743</v>
      </c>
      <c r="I33" s="31">
        <f t="shared" si="1"/>
        <v>2662.050000000001</v>
      </c>
      <c r="J33" s="31">
        <f t="shared" si="6"/>
        <v>121.18269131303165</v>
      </c>
      <c r="K33" s="18">
        <f>K34+K35+K36+K37+K38+K41+K42+K47+K48+K52+K40</f>
        <v>8891.05</v>
      </c>
      <c r="L33" s="18"/>
      <c r="M33" s="18">
        <f>M34+M35+M36+M37+M38+M41+M42+M47+M48+M52+M40+M39</f>
        <v>954.5</v>
      </c>
      <c r="N33" s="18">
        <f>N34+N35+N36+N37+N38+N41+N42+N47+N48+N52+N40+N39</f>
        <v>2233.6200000000003</v>
      </c>
      <c r="O33" s="49">
        <f t="shared" si="3"/>
        <v>1279.1200000000003</v>
      </c>
      <c r="P33" s="31">
        <f>N33/M33*100</f>
        <v>234.0094290204296</v>
      </c>
      <c r="Q33" s="31">
        <f>N33-1017.63</f>
        <v>1215.9900000000002</v>
      </c>
      <c r="R33" s="127">
        <f>N33/1017.63</f>
        <v>2.1949234987176087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184.16</v>
      </c>
      <c r="G36" s="43">
        <f t="shared" si="0"/>
        <v>184.16</v>
      </c>
      <c r="H36" s="35"/>
      <c r="I36" s="50">
        <f t="shared" si="1"/>
        <v>184.16</v>
      </c>
      <c r="J36" s="50"/>
      <c r="K36" s="50">
        <f>F36-214.58</f>
        <v>-30.420000000000016</v>
      </c>
      <c r="L36" s="50">
        <f>F36/214.58*100</f>
        <v>85.82346910243265</v>
      </c>
      <c r="M36" s="35">
        <f>E36-травень!E36</f>
        <v>0</v>
      </c>
      <c r="N36" s="35">
        <f>F36-травень!F36</f>
        <v>71.36</v>
      </c>
      <c r="O36" s="47">
        <f t="shared" si="3"/>
        <v>71.36</v>
      </c>
      <c r="P36" s="50"/>
      <c r="Q36" s="50">
        <f>N36-4.23</f>
        <v>67.13</v>
      </c>
      <c r="R36" s="126">
        <f>N36/4.23</f>
        <v>16.86997635933806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74.32</v>
      </c>
      <c r="G38" s="43">
        <f t="shared" si="0"/>
        <v>9.319999999999993</v>
      </c>
      <c r="H38" s="35">
        <f>F38/E38*100</f>
        <v>114.33846153846152</v>
      </c>
      <c r="I38" s="50">
        <f t="shared" si="1"/>
        <v>-65.68</v>
      </c>
      <c r="J38" s="50">
        <f t="shared" si="6"/>
        <v>53.08571428571428</v>
      </c>
      <c r="K38" s="50">
        <f>F38-61.77</f>
        <v>12.54999999999999</v>
      </c>
      <c r="L38" s="50">
        <f>F38/61.77*100</f>
        <v>120.31730613566454</v>
      </c>
      <c r="M38" s="35">
        <f>E38-травень!E38</f>
        <v>14</v>
      </c>
      <c r="N38" s="35">
        <f>F38-травень!F38</f>
        <v>9.139999999999986</v>
      </c>
      <c r="O38" s="47">
        <f t="shared" si="3"/>
        <v>-4.860000000000014</v>
      </c>
      <c r="P38" s="50">
        <f>N38/M38*100</f>
        <v>65.28571428571419</v>
      </c>
      <c r="Q38" s="50">
        <f>N38-9.02</f>
        <v>0.11999999999998678</v>
      </c>
      <c r="R38" s="126">
        <f>N38/9.02</f>
        <v>1.013303769401329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4673.44</v>
      </c>
      <c r="G40" s="43"/>
      <c r="H40" s="35"/>
      <c r="I40" s="50">
        <f t="shared" si="1"/>
        <v>4673.44</v>
      </c>
      <c r="J40" s="50"/>
      <c r="K40" s="50">
        <f>F40-0</f>
        <v>4673.44</v>
      </c>
      <c r="L40" s="50"/>
      <c r="M40" s="35">
        <f>E40-травень!E40</f>
        <v>0</v>
      </c>
      <c r="N40" s="35">
        <f>F40-травень!F40</f>
        <v>557.8999999999996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4302.68</v>
      </c>
      <c r="G41" s="43">
        <f t="shared" si="0"/>
        <v>782.6800000000003</v>
      </c>
      <c r="H41" s="35">
        <f>F41/E41*100</f>
        <v>122.23522727272729</v>
      </c>
      <c r="I41" s="50">
        <f t="shared" si="1"/>
        <v>-2597.3199999999997</v>
      </c>
      <c r="J41" s="50">
        <f t="shared" si="6"/>
        <v>62.357681159420295</v>
      </c>
      <c r="K41" s="50">
        <f>F41-3551.7</f>
        <v>750.9800000000005</v>
      </c>
      <c r="L41" s="50">
        <f>F41/3551.7*100</f>
        <v>121.14424078610244</v>
      </c>
      <c r="M41" s="35">
        <f>E41-травень!E41</f>
        <v>550</v>
      </c>
      <c r="N41" s="35">
        <f>F41-травень!F41</f>
        <v>899.5400000000004</v>
      </c>
      <c r="O41" s="47">
        <f t="shared" si="3"/>
        <v>349.5400000000004</v>
      </c>
      <c r="P41" s="50">
        <f>N41/M41*100</f>
        <v>163.55272727272734</v>
      </c>
      <c r="Q41" s="50">
        <f>N41-647.49</f>
        <v>252.0500000000004</v>
      </c>
      <c r="R41" s="126">
        <f>N41/647.49</f>
        <v>1.3892724211956948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3753.01</v>
      </c>
      <c r="G42" s="43">
        <f t="shared" si="0"/>
        <v>3303.01</v>
      </c>
      <c r="H42" s="35">
        <f>F42/E42*100</f>
        <v>834.0022222222223</v>
      </c>
      <c r="I42" s="50">
        <f t="shared" si="1"/>
        <v>2653.01</v>
      </c>
      <c r="J42" s="50">
        <f t="shared" si="6"/>
        <v>341.1827272727273</v>
      </c>
      <c r="K42" s="50">
        <f>F42-415.33</f>
        <v>3337.6800000000003</v>
      </c>
      <c r="L42" s="50">
        <f>F42/415.33*100</f>
        <v>903.6212168636988</v>
      </c>
      <c r="M42" s="35">
        <f>E42-травень!E42</f>
        <v>70</v>
      </c>
      <c r="N42" s="35">
        <f>F42-травень!F42</f>
        <v>384.4100000000003</v>
      </c>
      <c r="O42" s="47">
        <f t="shared" si="3"/>
        <v>314.4100000000003</v>
      </c>
      <c r="P42" s="50">
        <f>N42/M42*100</f>
        <v>549.1571428571433</v>
      </c>
      <c r="Q42" s="50">
        <f>N42-79.51</f>
        <v>304.9000000000003</v>
      </c>
      <c r="R42" s="126">
        <f>N42/79.51</f>
        <v>4.834737768834112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446.48</v>
      </c>
      <c r="G43" s="135">
        <f t="shared" si="0"/>
        <v>56.48000000000002</v>
      </c>
      <c r="H43" s="137">
        <f>F43/E43*100</f>
        <v>114.48205128205129</v>
      </c>
      <c r="I43" s="136">
        <f t="shared" si="1"/>
        <v>-523.52</v>
      </c>
      <c r="J43" s="136">
        <f t="shared" si="6"/>
        <v>46.02886597938144</v>
      </c>
      <c r="K43" s="136">
        <f>F43-359.18</f>
        <v>87.30000000000001</v>
      </c>
      <c r="L43" s="136">
        <f>F43/359.18*100</f>
        <v>124.30536221393173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44.87</v>
      </c>
      <c r="G44" s="135">
        <f t="shared" si="0"/>
        <v>44.87</v>
      </c>
      <c r="H44" s="137"/>
      <c r="I44" s="136">
        <f t="shared" si="1"/>
        <v>44.87</v>
      </c>
      <c r="J44" s="136"/>
      <c r="K44" s="136">
        <f>F44-0</f>
        <v>44.87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0"/>
        <v>0.73</v>
      </c>
      <c r="H45" s="137"/>
      <c r="I45" s="136">
        <f t="shared" si="1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3260.92</v>
      </c>
      <c r="G46" s="135">
        <f t="shared" si="0"/>
        <v>3180.92</v>
      </c>
      <c r="H46" s="137">
        <f>F46/E46*100</f>
        <v>4076.1499999999996</v>
      </c>
      <c r="I46" s="136">
        <f t="shared" si="1"/>
        <v>3130.92</v>
      </c>
      <c r="J46" s="136">
        <f t="shared" si="6"/>
        <v>2508.4</v>
      </c>
      <c r="K46" s="136">
        <f>F46-56.15</f>
        <v>3204.77</v>
      </c>
      <c r="L46" s="136">
        <f>F46/56.15*100</f>
        <v>5807.515583259128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2138.04</v>
      </c>
      <c r="G48" s="43">
        <f t="shared" si="0"/>
        <v>158.03999999999996</v>
      </c>
      <c r="H48" s="35">
        <f>F48/E48*100</f>
        <v>107.98181818181818</v>
      </c>
      <c r="I48" s="50">
        <f t="shared" si="1"/>
        <v>-2061.96</v>
      </c>
      <c r="J48" s="50">
        <f>F48/D48*100</f>
        <v>50.90571428571429</v>
      </c>
      <c r="K48" s="50">
        <f>F48-1967.92</f>
        <v>170.1199999999999</v>
      </c>
      <c r="L48" s="50">
        <f>F48/1967.92*100</f>
        <v>108.64466035204683</v>
      </c>
      <c r="M48" s="35">
        <f>E48-травень!E48</f>
        <v>310</v>
      </c>
      <c r="N48" s="35">
        <f>F48-травень!F48</f>
        <v>310.1700000000001</v>
      </c>
      <c r="O48" s="47">
        <f t="shared" si="3"/>
        <v>0.17000000000007276</v>
      </c>
      <c r="P48" s="50">
        <f aca="true" t="shared" si="7" ref="P48:P53">N48/M48*100</f>
        <v>100.05483870967744</v>
      </c>
      <c r="Q48" s="50">
        <f>N48-277.38</f>
        <v>32.79000000000008</v>
      </c>
      <c r="R48" s="126">
        <f>N48/277.38</f>
        <v>1.1182132814189922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556.8</v>
      </c>
      <c r="G51" s="135">
        <f t="shared" si="0"/>
        <v>556.8</v>
      </c>
      <c r="H51" s="137"/>
      <c r="I51" s="136">
        <f t="shared" si="1"/>
        <v>556.8</v>
      </c>
      <c r="J51" s="136"/>
      <c r="K51" s="136">
        <f>F51-290</f>
        <v>266.79999999999995</v>
      </c>
      <c r="L51" s="138">
        <f>F51/290*100</f>
        <v>192</v>
      </c>
      <c r="M51" s="137">
        <f>E51-травень!E51</f>
        <v>0</v>
      </c>
      <c r="N51" s="137">
        <f>F51-травень!F51</f>
        <v>123.89999999999998</v>
      </c>
      <c r="O51" s="138">
        <f t="shared" si="3"/>
        <v>123.89999999999998</v>
      </c>
      <c r="P51" s="136"/>
      <c r="Q51" s="50">
        <f>N51-64.93</f>
        <v>58.96999999999997</v>
      </c>
      <c r="R51" s="126">
        <f>N51/64.93</f>
        <v>1.908208840289542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270640.19999999995</v>
      </c>
      <c r="F55" s="18">
        <f>F8+F33+F53+F54</f>
        <v>295389.66000000003</v>
      </c>
      <c r="G55" s="44">
        <f>F55-E55</f>
        <v>24749.46000000008</v>
      </c>
      <c r="H55" s="45">
        <f>F55/E55*100</f>
        <v>109.14478336921125</v>
      </c>
      <c r="I55" s="31">
        <f>F55-D55</f>
        <v>-234632.93999999994</v>
      </c>
      <c r="J55" s="31">
        <f>F55/D55*100</f>
        <v>55.731521637001904</v>
      </c>
      <c r="K55" s="31">
        <f>K8+K33+K53+K54</f>
        <v>55739.41599999998</v>
      </c>
      <c r="L55" s="31">
        <f>(K55/(F55+K55))*100</f>
        <v>15.874337903022301</v>
      </c>
      <c r="M55" s="18">
        <f>M8+M33+M53+M54</f>
        <v>41940.89999999999</v>
      </c>
      <c r="N55" s="18">
        <f>N8+N33+N53+N54</f>
        <v>29655.489999999983</v>
      </c>
      <c r="O55" s="49">
        <f>N55-M55</f>
        <v>-12285.410000000003</v>
      </c>
      <c r="P55" s="31">
        <f>N55/M55*100</f>
        <v>70.70780550727332</v>
      </c>
      <c r="Q55" s="31">
        <f>N55-34768</f>
        <v>-5112.510000000017</v>
      </c>
      <c r="R55" s="171">
        <f>N55/34768</f>
        <v>0.8529535780027607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-27.69</v>
      </c>
      <c r="G61" s="43">
        <f aca="true" t="shared" si="8" ref="G61:G68">F61-E61</f>
        <v>-27.69</v>
      </c>
      <c r="H61" s="35"/>
      <c r="I61" s="53">
        <f aca="true" t="shared" si="9" ref="I61:I68">F61-D61</f>
        <v>-27.69</v>
      </c>
      <c r="J61" s="53"/>
      <c r="K61" s="47">
        <f>F61-165.21</f>
        <v>-192.9</v>
      </c>
      <c r="L61" s="53"/>
      <c r="M61" s="35">
        <v>0</v>
      </c>
      <c r="N61" s="36">
        <f>F61-травень!F61</f>
        <v>-8.3</v>
      </c>
      <c r="O61" s="47">
        <f aca="true" t="shared" si="10" ref="O61:O68">N61-M61</f>
        <v>-8.3</v>
      </c>
      <c r="P61" s="53"/>
      <c r="Q61" s="53">
        <f>N61-24.53</f>
        <v>-32.83</v>
      </c>
      <c r="R61" s="129">
        <f>N61/24.53</f>
        <v>-0.3383611903791276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-27.69</v>
      </c>
      <c r="G62" s="55">
        <f t="shared" si="8"/>
        <v>-27.69</v>
      </c>
      <c r="H62" s="65"/>
      <c r="I62" s="54">
        <f t="shared" si="9"/>
        <v>-27.69</v>
      </c>
      <c r="J62" s="54"/>
      <c r="K62" s="54">
        <f>K60+K61</f>
        <v>-191.76000000000002</v>
      </c>
      <c r="L62" s="54"/>
      <c r="M62" s="55">
        <f>M61</f>
        <v>0</v>
      </c>
      <c r="N62" s="33">
        <f>SUM(N60:N61)</f>
        <v>-8.3</v>
      </c>
      <c r="O62" s="54">
        <f t="shared" si="10"/>
        <v>-8.3</v>
      </c>
      <c r="P62" s="54"/>
      <c r="Q62" s="54">
        <f>N62-92.85</f>
        <v>-101.14999999999999</v>
      </c>
      <c r="R62" s="130">
        <f>N62/92.85</f>
        <v>-0.0893914916532041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193.99</v>
      </c>
      <c r="G64" s="43">
        <f t="shared" si="8"/>
        <v>-206.01</v>
      </c>
      <c r="H64" s="35"/>
      <c r="I64" s="53">
        <f t="shared" si="9"/>
        <v>-2306.01</v>
      </c>
      <c r="J64" s="53">
        <f t="shared" si="11"/>
        <v>7.7596</v>
      </c>
      <c r="K64" s="53">
        <f>F64-1658.94</f>
        <v>-1464.95</v>
      </c>
      <c r="L64" s="53">
        <f>F64/1658.94*100</f>
        <v>11.69361158330018</v>
      </c>
      <c r="M64" s="35">
        <f>E64-травень!E64</f>
        <v>0</v>
      </c>
      <c r="N64" s="35">
        <f>F64-травень!F64</f>
        <v>0.030000000000001137</v>
      </c>
      <c r="O64" s="47">
        <f t="shared" si="10"/>
        <v>0.030000000000001137</v>
      </c>
      <c r="P64" s="53"/>
      <c r="Q64" s="53">
        <f>N64-0.04</f>
        <v>-0.009999999999998864</v>
      </c>
      <c r="R64" s="129">
        <f>N64/0.04</f>
        <v>0.7500000000000284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2467.51</v>
      </c>
      <c r="G65" s="43">
        <f t="shared" si="8"/>
        <v>-32.1899999999996</v>
      </c>
      <c r="H65" s="35">
        <f>F65/E65*100</f>
        <v>98.71224546945635</v>
      </c>
      <c r="I65" s="53">
        <f t="shared" si="9"/>
        <v>-9108.49</v>
      </c>
      <c r="J65" s="53">
        <f t="shared" si="11"/>
        <v>21.3157394609537</v>
      </c>
      <c r="K65" s="53">
        <f>F65-2117.13</f>
        <v>350.3800000000001</v>
      </c>
      <c r="L65" s="53">
        <f>F65/2117.13*100</f>
        <v>116.54976312271803</v>
      </c>
      <c r="M65" s="35">
        <f>E65-травень!E65</f>
        <v>436.03999999999996</v>
      </c>
      <c r="N65" s="35">
        <f>F65-травень!F65</f>
        <v>0</v>
      </c>
      <c r="O65" s="47">
        <f t="shared" si="10"/>
        <v>-436.03999999999996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1668.42</v>
      </c>
      <c r="G66" s="43">
        <f t="shared" si="8"/>
        <v>927.9200000000001</v>
      </c>
      <c r="H66" s="35">
        <f>F66/E66*100</f>
        <v>225.30992572586092</v>
      </c>
      <c r="I66" s="53">
        <f t="shared" si="9"/>
        <v>-1331.58</v>
      </c>
      <c r="J66" s="53">
        <f t="shared" si="11"/>
        <v>55.614000000000004</v>
      </c>
      <c r="K66" s="53">
        <f>F66-728.31</f>
        <v>940.1100000000001</v>
      </c>
      <c r="L66" s="53">
        <f>F66/728.31*100</f>
        <v>229.08102319067433</v>
      </c>
      <c r="M66" s="35">
        <f>E66-травень!E66</f>
        <v>148.10000000000002</v>
      </c>
      <c r="N66" s="35">
        <f>F66-травень!F66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4329.92</v>
      </c>
      <c r="G67" s="55">
        <f t="shared" si="8"/>
        <v>689.7200000000003</v>
      </c>
      <c r="H67" s="65">
        <f>F67/E67*100</f>
        <v>118.94731058733036</v>
      </c>
      <c r="I67" s="54">
        <f t="shared" si="9"/>
        <v>-12746.08</v>
      </c>
      <c r="J67" s="54">
        <f t="shared" si="11"/>
        <v>25.356758022956193</v>
      </c>
      <c r="K67" s="54">
        <f>K64+K65+K66</f>
        <v>-174.4599999999998</v>
      </c>
      <c r="L67" s="54"/>
      <c r="M67" s="55">
        <f>M64+M65+M66</f>
        <v>584.14</v>
      </c>
      <c r="N67" s="55">
        <f>N64+N65+N66</f>
        <v>0.2500000000000284</v>
      </c>
      <c r="O67" s="54">
        <f t="shared" si="10"/>
        <v>-583.89</v>
      </c>
      <c r="P67" s="54">
        <f>N67/M67*100</f>
        <v>0.042797959393301</v>
      </c>
      <c r="Q67" s="54">
        <f>N67-7985.28</f>
        <v>-7985.03</v>
      </c>
      <c r="R67" s="173">
        <f>N67/7985.28</f>
        <v>3.1307605995034416E-05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F70-0.26</f>
        <v>0.69</v>
      </c>
      <c r="L70" s="53">
        <f>F70/0.26*100</f>
        <v>365.38461538461536</v>
      </c>
      <c r="M70" s="35">
        <f>E70-травень!E70</f>
        <v>0</v>
      </c>
      <c r="N70" s="35">
        <f>F70-травень!F70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0.95</v>
      </c>
      <c r="G71" s="55">
        <f>F71-E71</f>
        <v>-23.05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-31.24</v>
      </c>
      <c r="L71" s="54"/>
      <c r="M71" s="55">
        <f>M68+M70+M69</f>
        <v>3</v>
      </c>
      <c r="N71" s="55">
        <f>N68+N70+N69</f>
        <v>0</v>
      </c>
      <c r="O71" s="54">
        <f>N71-M71</f>
        <v>-3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14.05</v>
      </c>
      <c r="G72" s="43">
        <f>F72-E72</f>
        <v>-7.739999999999998</v>
      </c>
      <c r="H72" s="35">
        <f>F72/E72*100</f>
        <v>64.47911886186326</v>
      </c>
      <c r="I72" s="53">
        <f>F72-D72</f>
        <v>-27.95</v>
      </c>
      <c r="J72" s="53">
        <f>F72/D72*100</f>
        <v>33.452380952380956</v>
      </c>
      <c r="K72" s="53">
        <f>F72-21.12</f>
        <v>-7.07</v>
      </c>
      <c r="L72" s="53">
        <f>F72/21.12*100</f>
        <v>66.52462121212122</v>
      </c>
      <c r="M72" s="35">
        <f>E72-травень!E72</f>
        <v>8</v>
      </c>
      <c r="N72" s="35">
        <f>F72-травень!F72</f>
        <v>0</v>
      </c>
      <c r="O72" s="47">
        <f>N72-M72</f>
        <v>-8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4317.429999999999</v>
      </c>
      <c r="G74" s="44">
        <f>F74-E74</f>
        <v>631.4399999999996</v>
      </c>
      <c r="H74" s="45">
        <f>F74/E74*100</f>
        <v>117.13081153231559</v>
      </c>
      <c r="I74" s="31">
        <f>F74-D74</f>
        <v>-12854.57</v>
      </c>
      <c r="J74" s="31">
        <f>F74/D74*100</f>
        <v>25.142266480316795</v>
      </c>
      <c r="K74" s="31">
        <f>K62+K67+K71+K72</f>
        <v>-404.5299999999998</v>
      </c>
      <c r="L74" s="31"/>
      <c r="M74" s="27">
        <f>M62+M72+M67+M71</f>
        <v>595.14</v>
      </c>
      <c r="N74" s="27">
        <f>N62+N72+N67+N71+N73</f>
        <v>-8.049999999999972</v>
      </c>
      <c r="O74" s="31">
        <f>N74-M74</f>
        <v>-603.1899999999999</v>
      </c>
      <c r="P74" s="31">
        <f>N74/M74*100</f>
        <v>-1.3526229122559352</v>
      </c>
      <c r="Q74" s="31">
        <f>N74-8104.96</f>
        <v>-8113.01</v>
      </c>
      <c r="R74" s="127">
        <f>N74/8104.96</f>
        <v>-0.0009932189671509758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274326.18999999994</v>
      </c>
      <c r="F75" s="27">
        <f>F55+F74</f>
        <v>299707.09</v>
      </c>
      <c r="G75" s="44">
        <f>F75-E75</f>
        <v>25380.90000000008</v>
      </c>
      <c r="H75" s="45">
        <f>F75/E75*100</f>
        <v>109.25208781560379</v>
      </c>
      <c r="I75" s="31">
        <f>F75-D75</f>
        <v>-247487.50999999995</v>
      </c>
      <c r="J75" s="31">
        <f>F75/D75*100</f>
        <v>54.77157303818423</v>
      </c>
      <c r="K75" s="31">
        <f>K55+K74</f>
        <v>55334.885999999984</v>
      </c>
      <c r="L75" s="31"/>
      <c r="M75" s="18">
        <f>M55+M74</f>
        <v>42536.039999999986</v>
      </c>
      <c r="N75" s="18">
        <f>N55+N74</f>
        <v>29647.439999999984</v>
      </c>
      <c r="O75" s="31">
        <f>N75-M75</f>
        <v>-12888.600000000002</v>
      </c>
      <c r="P75" s="31">
        <f>N75/M75*100</f>
        <v>69.69957711155057</v>
      </c>
      <c r="Q75" s="31">
        <f>N75-42872.96</f>
        <v>-13225.520000000015</v>
      </c>
      <c r="R75" s="127">
        <f>N75/42872.96</f>
        <v>0.69151838361522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6</v>
      </c>
      <c r="D77" s="4" t="s">
        <v>118</v>
      </c>
    </row>
    <row r="78" spans="2:17" ht="31.5">
      <c r="B78" s="71" t="s">
        <v>154</v>
      </c>
      <c r="C78" s="34">
        <f>IF(O55&lt;0,ABS(O55/C77),0)</f>
        <v>2047.5683333333338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42174</v>
      </c>
      <c r="D79" s="34">
        <v>3028.3</v>
      </c>
      <c r="N79" s="232"/>
      <c r="O79" s="232"/>
    </row>
    <row r="80" spans="3:15" ht="15.75">
      <c r="C80" s="111">
        <v>42173</v>
      </c>
      <c r="D80" s="34">
        <v>1624.1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42172</v>
      </c>
      <c r="D81" s="34">
        <v>1235.2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152400.21913999997</v>
      </c>
      <c r="E83" s="73"/>
      <c r="F83" s="156" t="s">
        <v>147</v>
      </c>
      <c r="G83" s="238" t="s">
        <v>149</v>
      </c>
      <c r="H83" s="238"/>
      <c r="I83" s="107">
        <v>143490.48692999998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(K55/(F55+K55))*100</f>
        <v>19.58595754938715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/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0" t="s">
        <v>161</v>
      </c>
      <c r="K104" s="250"/>
      <c r="L104" s="250"/>
      <c r="M104" s="250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0" t="s">
        <v>161</v>
      </c>
      <c r="K139" s="250"/>
      <c r="L139" s="250"/>
      <c r="M139" s="250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2015-06-22T08:53:46Z</cp:lastPrinted>
  <dcterms:created xsi:type="dcterms:W3CDTF">2003-07-28T11:27:56Z</dcterms:created>
  <dcterms:modified xsi:type="dcterms:W3CDTF">2015-06-22T09:09:46Z</dcterms:modified>
  <cp:category/>
  <cp:version/>
  <cp:contentType/>
  <cp:contentStatus/>
</cp:coreProperties>
</file>